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<sst xmlns="http://schemas.openxmlformats.org/spreadsheetml/2006/main" count="1829" uniqueCount="278">
  <si>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</si>
  <si>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</si>
  <si>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</si>
  <si>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</si>
  <si>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</si>
  <si>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</si>
  <si>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</si>
  <si>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</si>
  <si>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</si>
  <si>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</si>
  <si>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</si>
  <si>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</si>
  <si>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</si>
  <si>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</si>
  <si>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</si>
  <si>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</si>
  <si>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</si>
  <si>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</si>
  <si>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</si>
  <si>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</si>
  <si>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</si>
  <si>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</si>
  <si>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</si>
  <si>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</si>
  <si>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</si>
  <si>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</si>
  <si>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</si>
  <si>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</si>
  <si>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</si>
  <si>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</si>
  <si>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</si>
  <si>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</si>
  <si>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</si>
  <si>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</si>
  <si>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</si>
  <si>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</si>
  <si>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</si>
  <si>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</si>
  <si>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</si>
  <si>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</si>
  <si>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</si>
  <si>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</si>
  <si>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</si>
  <si>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</si>
  <si>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</si>
  <si>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</si>
  <si>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</si>
  <si>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</si>
  <si>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</si>
  <si>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</si>
  <si>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</si>
  <si>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</si>
  <si>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</si>
  <si>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</si>
  <si>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</si>
  <si>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</si>
  <si>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</si>
  <si>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</si>
  <si>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</si>
  <si>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</si>
  <si>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</si>
  <si>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</si>
  <si>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</si>
  <si>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</si>
  <si>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</si>
  <si>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</si>
  <si>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</si>
  <si>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</si>
  <si>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</si>
  <si>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</si>
  <si>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</si>
  <si>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</si>
  <si>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</si>
  <si>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</si>
  <si>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</si>
  <si>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</si>
  <si>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</si>
  <si>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</si>
  <si>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</si>
  <si>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</si>
  <si>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</si>
  <si>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</si>
  <si>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</si>
  <si>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</si>
  <si>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</si>
  <si>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</si>
  <si>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</si>
  <si>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</si>
  <si>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</si>
  <si>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</si>
  <si>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</si>
  <si>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</si>
  <si>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</si>
  <si>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</si>
  <si>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</si>
  <si>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</si>
  <si>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</si>
  <si>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</si>
  <si>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</si>
  <si>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</si>
  <si>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</si>
  <si>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</si>
  <si>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</si>
  <si>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</si>
  <si>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</si>
  <si>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</si>
  <si>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</si>
  <si>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</si>
  <si>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</si>
  <si>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</si>
  <si>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</si>
  <si>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</si>
  <si>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</si>
  <si>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</si>
  <si>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</si>
  <si>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</si>
  <si>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</si>
  <si>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</si>
  <si>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</si>
  <si>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</si>
  <si>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</si>
  <si>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</si>
  <si>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</si>
  <si>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</si>
  <si>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</si>
  <si>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</si>
  <si>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</si>
  <si>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</si>
  <si>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</si>
  <si>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</si>
  <si>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</si>
  <si>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</si>
  <si>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</si>
  <si>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</si>
  <si>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</si>
  <si>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</si>
  <si>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</si>
  <si>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</si>
  <si>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</si>
  <si>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</si>
  <si>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</si>
  <si>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</si>
  <si>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</si>
  <si>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</si>
  <si>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</si>
  <si>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</si>
  <si>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</si>
  <si>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</si>
  <si>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</si>
  <si>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</si>
  <si>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</si>
  <si>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</si>
  <si>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</si>
  <si>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</si>
  <si>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</si>
  <si>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</si>
  <si>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</si>
  <si>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</si>
  <si>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</si>
  <si>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</si>
  <si>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</si>
  <si>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</si>
  <si>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</si>
  <si>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</si>
  <si>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</si>
  <si>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</si>
  <si>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</si>
  <si>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</si>
  <si>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</si>
  <si>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</si>
  <si>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</si>
  <si>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</si>
  <si>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</si>
  <si>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</si>
  <si>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</si>
  <si>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</si>
  <si>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</si>
  <si>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</si>
  <si>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</si>
  <si>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</si>
  <si>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</si>
  <si>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</si>
  <si>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</si>
  <si>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</si>
  <si>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</si>
  <si>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</si>
  <si>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</si>
  <si>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</si>
  <si>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</si>
  <si>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</si>
  <si>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</si>
  <si>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</si>
  <si>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</si>
  <si>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</si>
  <si>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</si>
  <si>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</si>
  <si>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</si>
  <si>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</si>
  <si>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</si>
  <si>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</si>
  <si>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</si>
  <si>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</si>
  <si>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</si>
  <si>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</si>
  <si>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</si>
  <si>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</si>
  <si>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</si>
  <si>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</si>
  <si>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</si>
  <si>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</si>
  <si>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</si>
  <si>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</si>
  <si>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</si>
  <si>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</si>
  <si>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</si>
  <si>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</si>
  <si>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</si>
  <si>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</si>
  <si>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</si>
  <si>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</si>
  <si>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</si>
  <si>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</si>
  <si>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</si>
  <si>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</si>
  <si>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</si>
  <si>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</si>
  <si>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</si>
  <si>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</si>
  <si>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</si>
  <si>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</si>
  <si>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</si>
  <si>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</si>
  <si>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</si>
  <si>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</si>
  <si>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</si>
  <si>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</si>
  <si>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</si>
  <si>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</si>
  <si>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</si>
  <si>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</si>
  <si>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</si>
  <si>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</si>
  <si>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</si>
  <si>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</si>
  <si>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</si>
  <si>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</si>
  <si>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</si>
  <si>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</si>
  <si>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</si>
  <si>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</si>
  <si>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</si>
  <si>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</si>
  <si>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</si>
  <si>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</si>
  <si>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</si>
  <si>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</si>
  <si>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</si>
  <si>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</si>
  <si>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</si>
  <si>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</si>
  <si>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</si>
  <si>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</si>
  <si>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</si>
  <si>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</si>
  <si>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</si>
  <si>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</si>
  <si>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</si>
  <si>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</si>
  <si>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</si>
  <si>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</si>
  <si>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</si>
  <si>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</si>
  <si>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</si>
  <si>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</si>
  <si>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</si>
  <si>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</si>
  <si>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</si>
  <si>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18.09.14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</si>
</sst>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18450830.479999993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5" sqref="G145:H14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328917.9</v>
      </c>
      <c r="G8" s="22">
        <f aca="true" t="shared" si="0" ref="G8:G30">F8-E8</f>
        <v>-22440.899999999907</v>
      </c>
      <c r="H8" s="51">
        <f>F8/E8*100</f>
        <v>93.61311001745227</v>
      </c>
      <c r="I8" s="36">
        <f aca="true" t="shared" si="1" ref="I8:I17">F8-D8</f>
        <v>-159558.39999999997</v>
      </c>
      <c r="J8" s="36">
        <f aca="true" t="shared" si="2" ref="J8:J14">F8/D8*100</f>
        <v>67.33548792438856</v>
      </c>
      <c r="K8" s="36">
        <f>F8-344287.2</f>
        <v>-15369.299999999988</v>
      </c>
      <c r="L8" s="136">
        <f>F8/344287.2</f>
        <v>0.9553590723093975</v>
      </c>
      <c r="M8" s="22">
        <f>M10+M19+M33+M56+M68+M30</f>
        <v>39345.409999999996</v>
      </c>
      <c r="N8" s="22">
        <f>N10+N19+N33+N56+N68+N30</f>
        <v>19982.13000000003</v>
      </c>
      <c r="O8" s="36">
        <f aca="true" t="shared" si="3" ref="O8:O71">N8-M8</f>
        <v>-19363.279999999966</v>
      </c>
      <c r="P8" s="36">
        <f>F8/M8*100</f>
        <v>835.9752764045414</v>
      </c>
      <c r="Q8" s="36">
        <f>N8-37510.4</f>
        <v>-17528.26999999997</v>
      </c>
      <c r="R8" s="134">
        <f>N8/37510.4</f>
        <v>0.5327090620201339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268645.52</v>
      </c>
      <c r="G9" s="22">
        <f t="shared" si="0"/>
        <v>268645.52</v>
      </c>
      <c r="H9" s="20"/>
      <c r="I9" s="56">
        <f t="shared" si="1"/>
        <v>-118367.68</v>
      </c>
      <c r="J9" s="56">
        <f t="shared" si="2"/>
        <v>69.41507938230531</v>
      </c>
      <c r="K9" s="56"/>
      <c r="L9" s="135"/>
      <c r="M9" s="20">
        <f>M10+M17</f>
        <v>32323.5</v>
      </c>
      <c r="N9" s="20">
        <f>N10+N17</f>
        <v>18367.090000000026</v>
      </c>
      <c r="O9" s="36">
        <f t="shared" si="3"/>
        <v>-13956.409999999974</v>
      </c>
      <c r="P9" s="56">
        <f>F9/M9*100</f>
        <v>831.115194827293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268645.52</v>
      </c>
      <c r="G10" s="49">
        <f t="shared" si="0"/>
        <v>-18813.97999999998</v>
      </c>
      <c r="H10" s="40">
        <f aca="true" t="shared" si="4" ref="H10:H17">F10/E10*100</f>
        <v>93.4550849771881</v>
      </c>
      <c r="I10" s="56">
        <f t="shared" si="1"/>
        <v>-118367.68</v>
      </c>
      <c r="J10" s="56">
        <f t="shared" si="2"/>
        <v>69.41507938230531</v>
      </c>
      <c r="K10" s="141">
        <f>F10-272674.4</f>
        <v>-4028.8800000000047</v>
      </c>
      <c r="L10" s="142">
        <f>F10/272674.4</f>
        <v>0.9852245755377109</v>
      </c>
      <c r="M10" s="40">
        <f>E10-серпень!E10</f>
        <v>32323.5</v>
      </c>
      <c r="N10" s="40">
        <f>F10-серпень!F10</f>
        <v>18367.090000000026</v>
      </c>
      <c r="O10" s="53">
        <f t="shared" si="3"/>
        <v>-13956.409999999974</v>
      </c>
      <c r="P10" s="56">
        <f aca="true" t="shared" si="5" ref="P10:P17">N10/M10*100</f>
        <v>56.82271412439873</v>
      </c>
      <c r="Q10" s="141">
        <f>N10-29967.1</f>
        <v>-11600.009999999973</v>
      </c>
      <c r="R10" s="142">
        <f>N10/29967.1</f>
        <v>0.6129084896436434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55890.15</v>
      </c>
      <c r="G33" s="49">
        <f aca="true" t="shared" si="14" ref="G33:G72">F33-E33</f>
        <v>-1811.949999999997</v>
      </c>
      <c r="H33" s="40">
        <f aca="true" t="shared" si="15" ref="H33:H67">F33/E33*100</f>
        <v>96.85981965994306</v>
      </c>
      <c r="I33" s="56">
        <f>F33-D33</f>
        <v>-37675.85</v>
      </c>
      <c r="J33" s="56">
        <f aca="true" t="shared" si="16" ref="J33:J72">F33/D33*100</f>
        <v>59.733396746681485</v>
      </c>
      <c r="K33" s="141">
        <f>F33-60413.2</f>
        <v>-4523.049999999996</v>
      </c>
      <c r="L33" s="142">
        <f>F33/60413.2</f>
        <v>0.9251314282309165</v>
      </c>
      <c r="M33" s="40">
        <f>E33-серпень!E33</f>
        <v>6401.309999999998</v>
      </c>
      <c r="N33" s="40">
        <f>F33-серпень!F33</f>
        <v>1597.4100000000035</v>
      </c>
      <c r="O33" s="53">
        <f t="shared" si="3"/>
        <v>-4803.899999999994</v>
      </c>
      <c r="P33" s="56">
        <f aca="true" t="shared" si="17" ref="P33:P67">N33/M33*100</f>
        <v>24.954423391462125</v>
      </c>
      <c r="Q33" s="141">
        <f>N33-6624.9</f>
        <v>-5027.489999999996</v>
      </c>
      <c r="R33" s="142">
        <f>N33/6624.9</f>
        <v>0.2411221301453612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41555.44</v>
      </c>
      <c r="G55" s="144">
        <f t="shared" si="14"/>
        <v>-916.3999999999942</v>
      </c>
      <c r="H55" s="146">
        <f t="shared" si="15"/>
        <v>97.84233506247905</v>
      </c>
      <c r="I55" s="145">
        <f t="shared" si="18"/>
        <v>-28710.559999999998</v>
      </c>
      <c r="J55" s="145">
        <f t="shared" si="16"/>
        <v>59.14018159565082</v>
      </c>
      <c r="K55" s="148">
        <f>F55-43813.51</f>
        <v>-2258.0699999999997</v>
      </c>
      <c r="L55" s="149">
        <f>F55/43813.51</f>
        <v>0.9484617872432498</v>
      </c>
      <c r="M55" s="40">
        <f>E55-серпень!E55</f>
        <v>4681.3499999999985</v>
      </c>
      <c r="N55" s="40">
        <f>F55-серпень!F55</f>
        <v>1415.1700000000055</v>
      </c>
      <c r="O55" s="148">
        <f t="shared" si="3"/>
        <v>-3266.179999999993</v>
      </c>
      <c r="P55" s="148">
        <f t="shared" si="17"/>
        <v>30.229955034338513</v>
      </c>
      <c r="Q55" s="160">
        <f>N55-4961.43</f>
        <v>-3546.2599999999948</v>
      </c>
      <c r="R55" s="161">
        <f>N55/7961.43</f>
        <v>0.17775324282195604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1.51+4792.07</f>
        <v>4793.58</v>
      </c>
      <c r="G56" s="49">
        <f t="shared" si="14"/>
        <v>-319.9200000000001</v>
      </c>
      <c r="H56" s="40">
        <f t="shared" si="15"/>
        <v>93.74361982986213</v>
      </c>
      <c r="I56" s="56">
        <f t="shared" si="18"/>
        <v>-2066.42</v>
      </c>
      <c r="J56" s="56">
        <f t="shared" si="16"/>
        <v>69.87725947521865</v>
      </c>
      <c r="K56" s="56">
        <f>F56-4694.5</f>
        <v>99.07999999999993</v>
      </c>
      <c r="L56" s="135">
        <f>F56/4694.5</f>
        <v>1.0211055490467569</v>
      </c>
      <c r="M56" s="40">
        <f>E56-серпень!E56</f>
        <v>609.6000000000004</v>
      </c>
      <c r="N56" s="40">
        <f>F56-серпень!F56</f>
        <v>506.28999999999996</v>
      </c>
      <c r="O56" s="53">
        <f t="shared" si="3"/>
        <v>-103.3100000000004</v>
      </c>
      <c r="P56" s="56">
        <f t="shared" si="17"/>
        <v>83.05282152230966</v>
      </c>
      <c r="Q56" s="56">
        <f>N56-556.2</f>
        <v>-49.91000000000008</v>
      </c>
      <c r="R56" s="135">
        <f>N56/556.2</f>
        <v>0.9102660913340523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9620.43</v>
      </c>
      <c r="G74" s="50">
        <f aca="true" t="shared" si="24" ref="G74:G92">F74-E74</f>
        <v>-2559.5699999999997</v>
      </c>
      <c r="H74" s="51">
        <f aca="true" t="shared" si="25" ref="H74:H87">F74/E74*100</f>
        <v>78.98546798029557</v>
      </c>
      <c r="I74" s="36">
        <f aca="true" t="shared" si="26" ref="I74:I92">F74-D74</f>
        <v>-8737.869999999999</v>
      </c>
      <c r="J74" s="36">
        <f aca="true" t="shared" si="27" ref="J74:J92">F74/D74*100</f>
        <v>52.40370840437296</v>
      </c>
      <c r="K74" s="36">
        <f>F74-14585.4</f>
        <v>-4964.969999999999</v>
      </c>
      <c r="L74" s="136">
        <f>F74/14585.4</f>
        <v>0.6595931547986343</v>
      </c>
      <c r="M74" s="22">
        <f>M77+M86+M88+M89+M94+M95+M96+M97+M99+M87+M104</f>
        <v>1580.5</v>
      </c>
      <c r="N74" s="22">
        <f>N77+N86+N88+N89+N94+N95+N96+N97+N99+N32+N104+N87+N103</f>
        <v>1010.7</v>
      </c>
      <c r="O74" s="55">
        <f aca="true" t="shared" si="28" ref="O74:O92">N74-M74</f>
        <v>-569.8</v>
      </c>
      <c r="P74" s="36">
        <f>N74/M74*100</f>
        <v>63.94811768427713</v>
      </c>
      <c r="Q74" s="36">
        <f>N74-1622.9</f>
        <v>-612.2</v>
      </c>
      <c r="R74" s="136">
        <f>N74/1622.9</f>
        <v>0.6227740464600406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95.42</v>
      </c>
      <c r="G89" s="49">
        <f t="shared" si="24"/>
        <v>-33.58</v>
      </c>
      <c r="H89" s="40">
        <f>F89/E89*100</f>
        <v>73.96899224806202</v>
      </c>
      <c r="I89" s="56">
        <f t="shared" si="26"/>
        <v>-79.58</v>
      </c>
      <c r="J89" s="56">
        <f t="shared" si="27"/>
        <v>54.52571428571429</v>
      </c>
      <c r="K89" s="56">
        <f>F89-123.2</f>
        <v>-27.78</v>
      </c>
      <c r="L89" s="135">
        <f>F89/123.2</f>
        <v>0.774512987012987</v>
      </c>
      <c r="M89" s="40">
        <f>E89-серпень!E89</f>
        <v>15</v>
      </c>
      <c r="N89" s="40">
        <f>F89-серпень!F89</f>
        <v>13.060000000000002</v>
      </c>
      <c r="O89" s="53">
        <f t="shared" si="28"/>
        <v>-1.9399999999999977</v>
      </c>
      <c r="P89" s="56">
        <f>N89/M89*100</f>
        <v>87.06666666666668</v>
      </c>
      <c r="Q89" s="56">
        <f>N89-14.8</f>
        <v>-1.7399999999999984</v>
      </c>
      <c r="R89" s="135">
        <f>N89/14.8</f>
        <v>0.8824324324324325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745.56</v>
      </c>
      <c r="G96" s="49">
        <f t="shared" si="31"/>
        <v>-48.940000000000055</v>
      </c>
      <c r="H96" s="40">
        <f>F96/E96*100</f>
        <v>93.84015103838892</v>
      </c>
      <c r="I96" s="56">
        <f t="shared" si="32"/>
        <v>-454.44000000000005</v>
      </c>
      <c r="J96" s="56">
        <f>F96/D96*100</f>
        <v>62.129999999999995</v>
      </c>
      <c r="K96" s="56">
        <f>F96-795.5</f>
        <v>-49.940000000000055</v>
      </c>
      <c r="L96" s="135">
        <f>F96/795.5</f>
        <v>0.9372218730358265</v>
      </c>
      <c r="M96" s="40">
        <f>E96-серпень!E96</f>
        <v>100</v>
      </c>
      <c r="N96" s="40">
        <f>F96-серпень!F96</f>
        <v>59.89999999999998</v>
      </c>
      <c r="O96" s="53">
        <f t="shared" si="33"/>
        <v>-40.10000000000002</v>
      </c>
      <c r="P96" s="56">
        <f>N96/M96*100</f>
        <v>59.89999999999998</v>
      </c>
      <c r="Q96" s="56">
        <f>N96-102.1</f>
        <v>-42.20000000000002</v>
      </c>
      <c r="R96" s="135">
        <f>N96/102.1</f>
        <v>0.5866797257590596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3010.59</v>
      </c>
      <c r="G99" s="49">
        <f t="shared" si="31"/>
        <v>3.5900000000001455</v>
      </c>
      <c r="H99" s="40">
        <f>F99/E99*100</f>
        <v>100.1193880944463</v>
      </c>
      <c r="I99" s="56">
        <f t="shared" si="32"/>
        <v>-1562.1099999999997</v>
      </c>
      <c r="J99" s="56">
        <f>F99/D99*100</f>
        <v>65.83834496030792</v>
      </c>
      <c r="K99" s="56">
        <f>F99-3411.3</f>
        <v>-400.71000000000004</v>
      </c>
      <c r="L99" s="135">
        <f>F99/3411.3</f>
        <v>0.8825345176325741</v>
      </c>
      <c r="M99" s="40">
        <f>E99-серпень!E99</f>
        <v>410</v>
      </c>
      <c r="N99" s="40">
        <f>F99-серпень!F99</f>
        <v>307.9300000000003</v>
      </c>
      <c r="O99" s="53">
        <f t="shared" si="33"/>
        <v>-102.06999999999971</v>
      </c>
      <c r="P99" s="56">
        <f>N99/M99*100</f>
        <v>75.10487804878055</v>
      </c>
      <c r="Q99" s="56">
        <f>N99-432.2</f>
        <v>-124.2699999999997</v>
      </c>
      <c r="R99" s="135">
        <f>N99/432.2</f>
        <v>0.7124710782045356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750.2</v>
      </c>
      <c r="G102" s="144"/>
      <c r="H102" s="146"/>
      <c r="I102" s="145"/>
      <c r="J102" s="145"/>
      <c r="K102" s="148">
        <f>F102-545.2</f>
        <v>205</v>
      </c>
      <c r="L102" s="149">
        <f>F102/545.2</f>
        <v>1.376008804108584</v>
      </c>
      <c r="M102" s="40">
        <f>E102-серпень!E102</f>
        <v>0</v>
      </c>
      <c r="N102" s="40">
        <f>F102-серпень!F102</f>
        <v>114.40000000000009</v>
      </c>
      <c r="O102" s="53"/>
      <c r="P102" s="60"/>
      <c r="Q102" s="60">
        <f>N102-124.1</f>
        <v>-9.699999999999903</v>
      </c>
      <c r="R102" s="138">
        <f>N102/124.1</f>
        <v>0.9218372280419025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-47.980000000000004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17.52</v>
      </c>
      <c r="G105" s="49">
        <f>F105-E105</f>
        <v>-6.68</v>
      </c>
      <c r="H105" s="40">
        <f>F105/E105*100</f>
        <v>72.39669421487604</v>
      </c>
      <c r="I105" s="56">
        <f t="shared" si="34"/>
        <v>-27.48</v>
      </c>
      <c r="J105" s="56">
        <f aca="true" t="shared" si="36" ref="J105:J110">F105/D105*100</f>
        <v>38.93333333333333</v>
      </c>
      <c r="K105" s="56">
        <f>F105-13.4</f>
        <v>4.119999999999999</v>
      </c>
      <c r="L105" s="135">
        <f>F105/13.4</f>
        <v>1.3074626865671641</v>
      </c>
      <c r="M105" s="40">
        <f>E105-серпень!E105</f>
        <v>3</v>
      </c>
      <c r="N105" s="40">
        <f>F105-серпень!F105</f>
        <v>0.28999999999999915</v>
      </c>
      <c r="O105" s="53">
        <f t="shared" si="35"/>
        <v>-2.710000000000001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338556.22000000003</v>
      </c>
      <c r="G107" s="50">
        <f>F107-E107</f>
        <v>-25006.77999999991</v>
      </c>
      <c r="H107" s="51">
        <f>F107/E107*100</f>
        <v>93.12174781262122</v>
      </c>
      <c r="I107" s="36">
        <f t="shared" si="34"/>
        <v>-168323.37999999995</v>
      </c>
      <c r="J107" s="36">
        <f t="shared" si="36"/>
        <v>66.79223626281272</v>
      </c>
      <c r="K107" s="36">
        <f>F107-358888.5</f>
        <v>-20332.27999999997</v>
      </c>
      <c r="L107" s="136">
        <f>F107/358888.5</f>
        <v>0.9433465268460818</v>
      </c>
      <c r="M107" s="22">
        <f>M8+M74+M105+M106</f>
        <v>40928.909999999996</v>
      </c>
      <c r="N107" s="22">
        <f>N8+N74+N105+N106</f>
        <v>20993.12000000003</v>
      </c>
      <c r="O107" s="55">
        <f t="shared" si="35"/>
        <v>-19935.789999999964</v>
      </c>
      <c r="P107" s="36">
        <f>N107/M107*100</f>
        <v>51.29166645288144</v>
      </c>
      <c r="Q107" s="36">
        <f>N107-39133.2</f>
        <v>-18140.079999999965</v>
      </c>
      <c r="R107" s="136">
        <f>N107/39133.2</f>
        <v>0.536452935103698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269391.08</v>
      </c>
      <c r="G108" s="71">
        <f>G10-G18+G96</f>
        <v>-18862.91999999998</v>
      </c>
      <c r="H108" s="72">
        <f>F108/E108*100</f>
        <v>93.45614631540239</v>
      </c>
      <c r="I108" s="52">
        <f t="shared" si="34"/>
        <v>-118822.12</v>
      </c>
      <c r="J108" s="52">
        <f t="shared" si="36"/>
        <v>69.39256058269014</v>
      </c>
      <c r="K108" s="52">
        <f>F108-273558.9</f>
        <v>-4167.820000000007</v>
      </c>
      <c r="L108" s="137">
        <f>F108/273558.9</f>
        <v>0.9847644510926166</v>
      </c>
      <c r="M108" s="71">
        <f>M10-M18+M96</f>
        <v>32423.5</v>
      </c>
      <c r="N108" s="71">
        <f>N10-N18+N96</f>
        <v>18426.990000000027</v>
      </c>
      <c r="O108" s="53">
        <f t="shared" si="35"/>
        <v>-13996.509999999973</v>
      </c>
      <c r="P108" s="52">
        <f>N108/M108*100</f>
        <v>56.83220503647054</v>
      </c>
      <c r="Q108" s="52">
        <f>N108-30069.2</f>
        <v>-11642.209999999974</v>
      </c>
      <c r="R108" s="137">
        <f>N108/30069.2</f>
        <v>0.6128194298484837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69165.14000000001</v>
      </c>
      <c r="G109" s="62">
        <f>F109-E109</f>
        <v>-6143.859999999928</v>
      </c>
      <c r="H109" s="72">
        <f>F109/E109*100</f>
        <v>91.84179845702381</v>
      </c>
      <c r="I109" s="52">
        <f t="shared" si="34"/>
        <v>-49501.25999999995</v>
      </c>
      <c r="J109" s="52">
        <f t="shared" si="36"/>
        <v>58.28536131541872</v>
      </c>
      <c r="K109" s="52">
        <f>F109-85329.7</f>
        <v>-16164.559999999983</v>
      </c>
      <c r="L109" s="137">
        <f>F109/85329.7</f>
        <v>0.8105634966488809</v>
      </c>
      <c r="M109" s="71">
        <f>M107-M108</f>
        <v>8505.409999999996</v>
      </c>
      <c r="N109" s="71">
        <f>N107-N108</f>
        <v>2566.1300000000047</v>
      </c>
      <c r="O109" s="53">
        <f t="shared" si="35"/>
        <v>-5939.279999999992</v>
      </c>
      <c r="P109" s="52">
        <f>N109/M109*100</f>
        <v>30.170562030519466</v>
      </c>
      <c r="Q109" s="52">
        <f>N109-9064</f>
        <v>-6497.869999999995</v>
      </c>
      <c r="R109" s="137">
        <f>N109/9064</f>
        <v>0.28311231244483726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269391.08</v>
      </c>
      <c r="G110" s="111">
        <f>F110-E110</f>
        <v>-13493.01999999996</v>
      </c>
      <c r="H110" s="72">
        <f>F110/E110*100</f>
        <v>95.23019498091269</v>
      </c>
      <c r="I110" s="81">
        <f t="shared" si="34"/>
        <v>-118822.12</v>
      </c>
      <c r="J110" s="52">
        <f t="shared" si="36"/>
        <v>69.39256058269014</v>
      </c>
      <c r="K110" s="52"/>
      <c r="L110" s="137"/>
      <c r="M110" s="72">
        <f>E110-серпень!E110</f>
        <v>32423.49999999997</v>
      </c>
      <c r="N110" s="71">
        <f>N108</f>
        <v>18426.990000000027</v>
      </c>
      <c r="O110" s="63">
        <f t="shared" si="35"/>
        <v>-13996.509999999944</v>
      </c>
      <c r="P110" s="52">
        <f>N110/M110*100</f>
        <v>56.8322050364706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1089.43</v>
      </c>
      <c r="G115" s="49">
        <f t="shared" si="37"/>
        <v>-1590.1699999999998</v>
      </c>
      <c r="H115" s="40">
        <f aca="true" t="shared" si="39" ref="H115:H126">F115/E115*100</f>
        <v>40.65644125988954</v>
      </c>
      <c r="I115" s="60">
        <f t="shared" si="38"/>
        <v>-2582.0699999999997</v>
      </c>
      <c r="J115" s="60">
        <f aca="true" t="shared" si="40" ref="J115:J121">F115/D115*100</f>
        <v>29.672613373280676</v>
      </c>
      <c r="K115" s="60">
        <f>F115-3077.6</f>
        <v>-1988.1699999999998</v>
      </c>
      <c r="L115" s="138">
        <f>F115/3077.6</f>
        <v>0.35398687288796465</v>
      </c>
      <c r="M115" s="40">
        <f>E115-серпень!E115</f>
        <v>327.5</v>
      </c>
      <c r="N115" s="40">
        <f>F115-серпень!F115</f>
        <v>103.91000000000008</v>
      </c>
      <c r="O115" s="53">
        <f aca="true" t="shared" si="41" ref="O115:O126">N115-M115</f>
        <v>-223.58999999999992</v>
      </c>
      <c r="P115" s="60">
        <f>N115/M115*100</f>
        <v>31.728244274809185</v>
      </c>
      <c r="Q115" s="60">
        <f>N115-150.5</f>
        <v>-46.58999999999992</v>
      </c>
      <c r="R115" s="138">
        <f>N115/150.5</f>
        <v>0.6904318936877082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1324.88</v>
      </c>
      <c r="G117" s="62">
        <f t="shared" si="37"/>
        <v>-1555.2199999999998</v>
      </c>
      <c r="H117" s="72">
        <f t="shared" si="39"/>
        <v>46.00118051456547</v>
      </c>
      <c r="I117" s="61">
        <f t="shared" si="38"/>
        <v>-2614.72</v>
      </c>
      <c r="J117" s="61">
        <f t="shared" si="40"/>
        <v>33.629810133008434</v>
      </c>
      <c r="K117" s="61">
        <f>F117-3299.2</f>
        <v>-1974.3199999999997</v>
      </c>
      <c r="L117" s="139">
        <f>F117/3299.2</f>
        <v>0.40157613967022315</v>
      </c>
      <c r="M117" s="62">
        <f>M115+M116+M114</f>
        <v>349.5</v>
      </c>
      <c r="N117" s="38">
        <f>SUM(N114:N116)</f>
        <v>133.00000000000009</v>
      </c>
      <c r="O117" s="61">
        <f t="shared" si="41"/>
        <v>-216.49999999999991</v>
      </c>
      <c r="P117" s="61">
        <f>N117/M117*100</f>
        <v>38.054363376251814</v>
      </c>
      <c r="Q117" s="61">
        <f>N117-175.8</f>
        <v>-42.799999999999926</v>
      </c>
      <c r="R117" s="139">
        <f>N117/175.8</f>
        <v>0.7565415244596136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294.8</v>
      </c>
      <c r="G119" s="49">
        <f t="shared" si="37"/>
        <v>107.30000000000001</v>
      </c>
      <c r="H119" s="40">
        <f t="shared" si="39"/>
        <v>157.22666666666666</v>
      </c>
      <c r="I119" s="60">
        <f t="shared" si="38"/>
        <v>27.600000000000023</v>
      </c>
      <c r="J119" s="60">
        <f t="shared" si="40"/>
        <v>110.32934131736528</v>
      </c>
      <c r="K119" s="60">
        <f>F119-174.4</f>
        <v>120.4</v>
      </c>
      <c r="L119" s="138">
        <f>F119/174.4</f>
        <v>1.6903669724770642</v>
      </c>
      <c r="M119" s="40">
        <f>E119-серпень!E119</f>
        <v>5</v>
      </c>
      <c r="N119" s="40">
        <f>F119-серпень!F119</f>
        <v>6</v>
      </c>
      <c r="O119" s="53">
        <f>N119-M119</f>
        <v>1</v>
      </c>
      <c r="P119" s="60">
        <f>N119/M119*100</f>
        <v>120</v>
      </c>
      <c r="Q119" s="60">
        <f>N119-1.4</f>
        <v>4.6</v>
      </c>
      <c r="R119" s="138">
        <f>N119/1.4</f>
        <v>4.285714285714286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58481.09</v>
      </c>
      <c r="G120" s="49">
        <f t="shared" si="37"/>
        <v>5968.489999999998</v>
      </c>
      <c r="H120" s="40">
        <f t="shared" si="39"/>
        <v>111.36582458305244</v>
      </c>
      <c r="I120" s="53">
        <f t="shared" si="38"/>
        <v>-13494.900000000009</v>
      </c>
      <c r="J120" s="60">
        <f t="shared" si="40"/>
        <v>81.25083100628416</v>
      </c>
      <c r="K120" s="60">
        <f>F120-50659.1</f>
        <v>7821.989999999998</v>
      </c>
      <c r="L120" s="138">
        <f>F120/50659.1</f>
        <v>1.154404440663178</v>
      </c>
      <c r="M120" s="40">
        <f>E120-серпень!E120</f>
        <v>3100</v>
      </c>
      <c r="N120" s="40">
        <f>F120-серпень!F120</f>
        <v>2366.459999999999</v>
      </c>
      <c r="O120" s="53">
        <f t="shared" si="41"/>
        <v>-733.5400000000009</v>
      </c>
      <c r="P120" s="60">
        <f aca="true" t="shared" si="42" ref="P120:P125">N120/M120*100</f>
        <v>76.33741935483869</v>
      </c>
      <c r="Q120" s="60">
        <f>N120-3034.9</f>
        <v>-668.440000000001</v>
      </c>
      <c r="R120" s="138">
        <f>N120/3034.9</f>
        <v>0.7797489208870141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2356.05</v>
      </c>
      <c r="G122" s="49">
        <f t="shared" si="37"/>
        <v>-10571.379999999997</v>
      </c>
      <c r="H122" s="40">
        <f t="shared" si="39"/>
        <v>18.225200213808932</v>
      </c>
      <c r="I122" s="60">
        <f t="shared" si="38"/>
        <v>-20721.08</v>
      </c>
      <c r="J122" s="60">
        <f>F122/D122*100</f>
        <v>10.209458455189186</v>
      </c>
      <c r="K122" s="60">
        <f>F122-22303.9</f>
        <v>-19947.850000000002</v>
      </c>
      <c r="L122" s="138">
        <f>F122/22303.9</f>
        <v>0.10563399226144307</v>
      </c>
      <c r="M122" s="40">
        <f>E122-серпень!E122</f>
        <v>3313.4299999999985</v>
      </c>
      <c r="N122" s="40">
        <f>F122-серпень!F122</f>
        <v>64.26000000000022</v>
      </c>
      <c r="O122" s="53">
        <f t="shared" si="41"/>
        <v>-3249.1699999999983</v>
      </c>
      <c r="P122" s="60">
        <f t="shared" si="42"/>
        <v>1.9393800382081483</v>
      </c>
      <c r="Q122" s="60">
        <f>N122-7566.7</f>
        <v>-7502.44</v>
      </c>
      <c r="R122" s="138">
        <f>N122/7566.7</f>
        <v>0.008492473601437909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63827.73</v>
      </c>
      <c r="G124" s="62">
        <f t="shared" si="37"/>
        <v>-4954.019999999997</v>
      </c>
      <c r="H124" s="72">
        <f t="shared" si="39"/>
        <v>92.79747898243357</v>
      </c>
      <c r="I124" s="61">
        <f t="shared" si="38"/>
        <v>-38242.590000000004</v>
      </c>
      <c r="J124" s="61">
        <f>F124/D124*100</f>
        <v>62.53309483109292</v>
      </c>
      <c r="K124" s="61">
        <f>F124-76087.4</f>
        <v>-12259.669999999991</v>
      </c>
      <c r="L124" s="139">
        <f>F124/76087.4</f>
        <v>0.8388738477067164</v>
      </c>
      <c r="M124" s="62">
        <f>M120+M121+M122+M123+M119</f>
        <v>6608.019999999999</v>
      </c>
      <c r="N124" s="62">
        <f>N120+N121+N122+N123+N119</f>
        <v>2513.2099999999996</v>
      </c>
      <c r="O124" s="61">
        <f t="shared" si="41"/>
        <v>-4094.809999999999</v>
      </c>
      <c r="P124" s="61">
        <f t="shared" si="42"/>
        <v>38.03272387190111</v>
      </c>
      <c r="Q124" s="61">
        <f>N124-10790.5</f>
        <v>-8277.29</v>
      </c>
      <c r="R124" s="139">
        <f>N124/10790.5</f>
        <v>0.23290950373013294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7366.2</v>
      </c>
      <c r="G128" s="49">
        <f aca="true" t="shared" si="43" ref="G128:G135">F128-E128</f>
        <v>647.6999999999998</v>
      </c>
      <c r="H128" s="40">
        <f>F128/E128*100</f>
        <v>109.64054476445635</v>
      </c>
      <c r="I128" s="60">
        <f aca="true" t="shared" si="44" ref="I128:I135">F128-D128</f>
        <v>-1333.8000000000002</v>
      </c>
      <c r="J128" s="60">
        <f>F128/D128*100</f>
        <v>84.66896551724138</v>
      </c>
      <c r="K128" s="60">
        <f>F128-8715.2</f>
        <v>-1349.000000000001</v>
      </c>
      <c r="L128" s="138">
        <f>F128/8715.2</f>
        <v>0.8452129612630805</v>
      </c>
      <c r="M128" s="40">
        <f>E128-серпень!E128</f>
        <v>1</v>
      </c>
      <c r="N128" s="40">
        <f>F128-серпень!F128</f>
        <v>2.6799999999993815</v>
      </c>
      <c r="O128" s="53">
        <f aca="true" t="shared" si="45" ref="O128:O135">N128-M128</f>
        <v>1.6799999999993815</v>
      </c>
      <c r="P128" s="60">
        <f>N128/M128*100</f>
        <v>267.99999999993815</v>
      </c>
      <c r="Q128" s="60">
        <f>N128-35</f>
        <v>-32.32000000000062</v>
      </c>
      <c r="R128" s="162">
        <f>N128/35</f>
        <v>0.0765714285714109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7400.74</v>
      </c>
      <c r="G130" s="62">
        <f t="shared" si="43"/>
        <v>647.8800000000001</v>
      </c>
      <c r="H130" s="72">
        <f>F130/E130*100</f>
        <v>109.59415714230711</v>
      </c>
      <c r="I130" s="61">
        <f t="shared" si="44"/>
        <v>-1349.960000000001</v>
      </c>
      <c r="J130" s="61">
        <f>F130/D130*100</f>
        <v>84.57311986469654</v>
      </c>
      <c r="K130" s="61">
        <f>F130-8836.4</f>
        <v>-1435.6599999999999</v>
      </c>
      <c r="L130" s="139">
        <f>G130/8836.4</f>
        <v>0.07331945136028248</v>
      </c>
      <c r="M130" s="62">
        <f>M125+M128+M129+M127</f>
        <v>5</v>
      </c>
      <c r="N130" s="62">
        <f>N125+N128+N129+N127</f>
        <v>2.7199999999993816</v>
      </c>
      <c r="O130" s="61">
        <f t="shared" si="45"/>
        <v>-2.2800000000006184</v>
      </c>
      <c r="P130" s="61">
        <f>N130/M130*100</f>
        <v>54.399999999987635</v>
      </c>
      <c r="Q130" s="61">
        <f>N130-35.8</f>
        <v>-33.08000000000062</v>
      </c>
      <c r="R130" s="137">
        <f>N130/35.8</f>
        <v>0.07597765363126764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72575.97</v>
      </c>
      <c r="G134" s="50">
        <f t="shared" si="43"/>
        <v>-5862.190000000002</v>
      </c>
      <c r="H134" s="51">
        <f>F134/E134*100</f>
        <v>92.52635451927989</v>
      </c>
      <c r="I134" s="36">
        <f t="shared" si="44"/>
        <v>-42214.65000000001</v>
      </c>
      <c r="J134" s="36">
        <f>F134/D134*100</f>
        <v>63.22465197940389</v>
      </c>
      <c r="K134" s="36">
        <f>F134-88248.3</f>
        <v>-15672.330000000002</v>
      </c>
      <c r="L134" s="136">
        <f>F134/88248.3</f>
        <v>0.8224064372911433</v>
      </c>
      <c r="M134" s="31">
        <f>M117+M131+M124+M130+M133+M132</f>
        <v>6969.519999999999</v>
      </c>
      <c r="N134" s="31">
        <f>N117+N131+N124+N130+N133+N132</f>
        <v>2648.929999999999</v>
      </c>
      <c r="O134" s="36">
        <f t="shared" si="45"/>
        <v>-4320.59</v>
      </c>
      <c r="P134" s="36">
        <f>N134/M134*100</f>
        <v>38.007352012764144</v>
      </c>
      <c r="Q134" s="36">
        <f>N134-11009.7</f>
        <v>-8360.770000000002</v>
      </c>
      <c r="R134" s="136">
        <f>N134/11009.7</f>
        <v>0.24059965303323422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411132.19000000006</v>
      </c>
      <c r="G135" s="50">
        <f t="shared" si="43"/>
        <v>-30868.969999999856</v>
      </c>
      <c r="H135" s="51">
        <f>F135/E135*100</f>
        <v>93.01608846456423</v>
      </c>
      <c r="I135" s="36">
        <f t="shared" si="44"/>
        <v>-210538.0299999999</v>
      </c>
      <c r="J135" s="36">
        <f>F135/D135*100</f>
        <v>66.13348633621217</v>
      </c>
      <c r="K135" s="36">
        <f>F135-447136.8</f>
        <v>-36004.60999999993</v>
      </c>
      <c r="L135" s="136">
        <f>F135/447136.8</f>
        <v>0.9194774172020734</v>
      </c>
      <c r="M135" s="22">
        <f>M107+M134</f>
        <v>47898.42999999999</v>
      </c>
      <c r="N135" s="22">
        <f>N107+N134</f>
        <v>23642.050000000032</v>
      </c>
      <c r="O135" s="36">
        <f t="shared" si="45"/>
        <v>-24256.37999999996</v>
      </c>
      <c r="P135" s="36">
        <f>N135/M135*100</f>
        <v>49.358715932860505</v>
      </c>
      <c r="Q135" s="36">
        <f>N135-50142.9</f>
        <v>-26500.84999999997</v>
      </c>
      <c r="R135" s="136">
        <f>N135/50142.9</f>
        <v>0.47149347165800204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8</v>
      </c>
      <c r="D137" s="4" t="s">
        <v>118</v>
      </c>
    </row>
    <row r="138" spans="2:17" ht="31.5">
      <c r="B138" s="78" t="s">
        <v>154</v>
      </c>
      <c r="C138" s="39">
        <f>IF(O107&lt;0,ABS(O107/C137),0)</f>
        <v>2491.9737499999956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41900</v>
      </c>
      <c r="D139" s="39">
        <v>1209.5</v>
      </c>
      <c r="N139" s="209"/>
      <c r="O139" s="209"/>
    </row>
    <row r="140" spans="3:15" ht="15.75">
      <c r="C140" s="120">
        <v>41899</v>
      </c>
      <c r="D140" s="39">
        <v>928.2</v>
      </c>
      <c r="F140" s="4" t="s">
        <v>166</v>
      </c>
      <c r="G140" s="210" t="s">
        <v>151</v>
      </c>
      <c r="H140" s="210"/>
      <c r="I140" s="115"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41898</v>
      </c>
      <c r="D141" s="39">
        <v>2248.6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121730.21587999999</v>
      </c>
      <c r="E143" s="80"/>
      <c r="F143" s="100" t="s">
        <v>147</v>
      </c>
      <c r="G143" s="210" t="s">
        <v>149</v>
      </c>
      <c r="H143" s="210"/>
      <c r="I143" s="116">
        <v>112709.61935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18450.830479999993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18450.830479999993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2014-09-19T12:16:28Z</cp:lastPrinted>
  <dcterms:created xsi:type="dcterms:W3CDTF">2003-07-28T11:27:56Z</dcterms:created>
  <dcterms:modified xsi:type="dcterms:W3CDTF">2014-09-19T12:24:25Z</dcterms:modified>
  <cp:category/>
  <cp:version/>
  <cp:contentType/>
  <cp:contentStatus/>
</cp:coreProperties>
</file>